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14325" windowHeight="13065"/>
  </bookViews>
  <sheets>
    <sheet name="Revised budget" sheetId="1" r:id="rId1"/>
  </sheets>
  <definedNames>
    <definedName name="_xlnm.Print_Area" localSheetId="0">'Revised budget'!$A$1:$H$79</definedName>
  </definedNames>
  <calcPr calcId="145621"/>
</workbook>
</file>

<file path=xl/calcChain.xml><?xml version="1.0" encoding="utf-8"?>
<calcChain xmlns="http://schemas.openxmlformats.org/spreadsheetml/2006/main">
  <c r="G69" i="1" l="1"/>
  <c r="G68" i="1"/>
  <c r="G67" i="1"/>
  <c r="G70" i="1" s="1"/>
  <c r="I70" i="1" s="1"/>
  <c r="G66" i="1"/>
  <c r="G63" i="1"/>
  <c r="G52" i="1"/>
  <c r="G49" i="1"/>
  <c r="I49" i="1" s="1"/>
  <c r="G43" i="1"/>
  <c r="AD33" i="1"/>
  <c r="AD32" i="1"/>
  <c r="M25" i="1"/>
  <c r="K21" i="1"/>
  <c r="G21" i="1"/>
  <c r="K20" i="1"/>
  <c r="G20" i="1"/>
  <c r="G35" i="1" s="1"/>
  <c r="K19" i="1"/>
  <c r="G19" i="1"/>
  <c r="G34" i="1" s="1"/>
  <c r="I19" i="1" s="1"/>
  <c r="K18" i="1"/>
  <c r="G18" i="1"/>
  <c r="G33" i="1" s="1"/>
  <c r="K17" i="1"/>
  <c r="G17" i="1"/>
  <c r="G32" i="1" s="1"/>
  <c r="K16" i="1"/>
  <c r="G16" i="1"/>
  <c r="G31" i="1" s="1"/>
  <c r="K15" i="1"/>
  <c r="G15" i="1"/>
  <c r="G30" i="1" s="1"/>
  <c r="K14" i="1"/>
  <c r="G14" i="1"/>
  <c r="G29" i="1" s="1"/>
  <c r="K13" i="1"/>
  <c r="G13" i="1"/>
  <c r="G28" i="1" s="1"/>
  <c r="K12" i="1"/>
  <c r="G12" i="1"/>
  <c r="G27" i="1" s="1"/>
  <c r="K11" i="1"/>
  <c r="K10" i="1"/>
  <c r="G10" i="1"/>
  <c r="G26" i="1" s="1"/>
  <c r="P3" i="1"/>
  <c r="Q3" i="1" s="1"/>
  <c r="P2" i="1"/>
  <c r="Q2" i="1" s="1"/>
  <c r="I15" i="1" l="1"/>
  <c r="J15" i="1" s="1"/>
  <c r="G65" i="1"/>
  <c r="I12" i="1"/>
  <c r="J12" i="1" s="1"/>
  <c r="I10" i="1"/>
  <c r="G23" i="1"/>
  <c r="G36" i="1"/>
  <c r="G37" i="1" s="1"/>
  <c r="I63" i="1"/>
  <c r="I17" i="1"/>
  <c r="I20" i="1"/>
  <c r="J27" i="1" s="1"/>
  <c r="G39" i="1" l="1"/>
  <c r="G73" i="1" s="1"/>
  <c r="I21" i="1"/>
  <c r="I23" i="1" s="1"/>
  <c r="I78" i="1" s="1"/>
  <c r="G74" i="1" l="1"/>
  <c r="G76" i="1" s="1"/>
  <c r="G78" i="1" s="1"/>
</calcChain>
</file>

<file path=xl/sharedStrings.xml><?xml version="1.0" encoding="utf-8"?>
<sst xmlns="http://schemas.openxmlformats.org/spreadsheetml/2006/main" count="99" uniqueCount="93">
  <si>
    <t xml:space="preserve">NAME OF PROPOSAL: </t>
  </si>
  <si>
    <t>Hourly</t>
  </si>
  <si>
    <t>Monthly</t>
  </si>
  <si>
    <t>.5 fte</t>
  </si>
  <si>
    <t xml:space="preserve">SUBMITTED TO: </t>
  </si>
  <si>
    <t>PERIOD:</t>
  </si>
  <si>
    <t xml:space="preserve">PI NAME: </t>
  </si>
  <si>
    <t>Jim Graham</t>
  </si>
  <si>
    <t>Burdened Costs</t>
  </si>
  <si>
    <t>Initial Budget</t>
  </si>
  <si>
    <t>MONTHS WORKED PER YEAR</t>
  </si>
  <si>
    <t>COSTS</t>
  </si>
  <si>
    <t>Percent</t>
  </si>
  <si>
    <t>Salaries and Wages</t>
  </si>
  <si>
    <t>Salary</t>
  </si>
  <si>
    <t xml:space="preserve"> FY 13/14</t>
  </si>
  <si>
    <t>Effort</t>
  </si>
  <si>
    <t>A) Senior Personnel</t>
  </si>
  <si>
    <t>Jim Graham, 1fte</t>
  </si>
  <si>
    <t>rest of my time over the summer</t>
  </si>
  <si>
    <t>B) Other Personnel</t>
  </si>
  <si>
    <t>With tuition</t>
  </si>
  <si>
    <t>1 month during summer and 4.5 for the academic year</t>
  </si>
  <si>
    <t>Summer and fall</t>
  </si>
  <si>
    <t>Jake</t>
  </si>
  <si>
    <t>W,Spr,Fall. 1 sum mo</t>
  </si>
  <si>
    <t>Lucy</t>
  </si>
  <si>
    <t>3 sum mo</t>
  </si>
  <si>
    <t>Jose</t>
  </si>
  <si>
    <t>Total Salaries and Wages</t>
  </si>
  <si>
    <t>Jonathan</t>
  </si>
  <si>
    <t>3 sum mo, .25fte oct &amp; nov</t>
  </si>
  <si>
    <t>Tanya</t>
  </si>
  <si>
    <t>Uran</t>
  </si>
  <si>
    <t>C) Fringe Benefits OPE</t>
  </si>
  <si>
    <t>your choice on summer salary amount, min of $2642/mo, max $4596/mo</t>
  </si>
  <si>
    <t>Post doc minimum salary is $4k/mo, max $5k/mo</t>
  </si>
  <si>
    <t>For Nov-Feb payroll:</t>
  </si>
  <si>
    <t>Major assumption that he'll stay on an academic hourly appt- which means no retirement and no insurance</t>
  </si>
  <si>
    <t>Uran will cost the grant</t>
  </si>
  <si>
    <t>Jose will cost the grant</t>
  </si>
  <si>
    <t>If his appt changes his ope rate could range from 30% to 60%</t>
  </si>
  <si>
    <t>Tayna's appt type will dictate whether she'll get health insurance.  Strongly encourage budgeting for full benefits</t>
  </si>
  <si>
    <t>Total Fringe</t>
  </si>
  <si>
    <t>Total Salaries, Wages and Fringe Benefits</t>
  </si>
  <si>
    <t>Other Costs</t>
  </si>
  <si>
    <t>D) Equipment</t>
  </si>
  <si>
    <t>Total Equipment</t>
  </si>
  <si>
    <t>E) Travel</t>
  </si>
  <si>
    <t>Domestic</t>
  </si>
  <si>
    <t xml:space="preserve">Foreign </t>
  </si>
  <si>
    <t>Total Travel</t>
  </si>
  <si>
    <t>F) Participant Support</t>
  </si>
  <si>
    <t>Total Participant Support</t>
  </si>
  <si>
    <t>G) Other Direct Costs</t>
  </si>
  <si>
    <t>1. Materials and Supplies</t>
  </si>
  <si>
    <t>2. Publication Costs, Documentation, Dissemination</t>
  </si>
  <si>
    <t>3. Consultant Services</t>
  </si>
  <si>
    <t>4. Computer (ADPE) Services</t>
  </si>
  <si>
    <t>5. Subcontracts</t>
  </si>
  <si>
    <t>6a. Other - Communications</t>
  </si>
  <si>
    <t>6b. Other - Photocopying</t>
  </si>
  <si>
    <t xml:space="preserve">6c. Other - </t>
  </si>
  <si>
    <t>Total Other Direct Costs</t>
  </si>
  <si>
    <t>Total Other  Costs</t>
  </si>
  <si>
    <t>GRA Tuition Remission</t>
  </si>
  <si>
    <t>Total Tuition</t>
  </si>
  <si>
    <t>Total Direct</t>
  </si>
  <si>
    <t>Modified Direct</t>
  </si>
  <si>
    <t>(total direct less tuition, sub-award in excess of $25K,
 equipment, participant support)</t>
  </si>
  <si>
    <t>Facilities + Administration Costs @ 46%</t>
  </si>
  <si>
    <t>TOTAL</t>
  </si>
  <si>
    <t>GRA Student W,Sp, .5 fte</t>
  </si>
  <si>
    <t>GRA Student Fall '13, .5 fte</t>
  </si>
  <si>
    <t>GRA Student  Summer, 1 fte</t>
  </si>
  <si>
    <t xml:space="preserve">GRA Student  Oct&amp;Nov, .5 fte </t>
  </si>
  <si>
    <t>GRA Student Summer, 1 fte</t>
  </si>
  <si>
    <t xml:space="preserve">Hourly Student </t>
  </si>
  <si>
    <t xml:space="preserve">RA </t>
  </si>
  <si>
    <t>Post-Doc  .5fte</t>
  </si>
  <si>
    <t>GRA Student  W,Sp</t>
  </si>
  <si>
    <t>GRA Student  Fall '13</t>
  </si>
  <si>
    <t>GRA Student  Summer</t>
  </si>
  <si>
    <t>GRA Student  .25fte Oct&amp;Nov</t>
  </si>
  <si>
    <t xml:space="preserve">Hourly Stutdent </t>
  </si>
  <si>
    <t xml:space="preserve">Post-Doc </t>
  </si>
  <si>
    <t xml:space="preserve"> Winter, Spring terms</t>
  </si>
  <si>
    <t xml:space="preserve"> Fall term</t>
  </si>
  <si>
    <t xml:space="preserve">  Fall term</t>
  </si>
  <si>
    <t>Sample Project Budget</t>
  </si>
  <si>
    <t>Department of Sample Projects</t>
  </si>
  <si>
    <t>Start date 1-Jan-2013</t>
  </si>
  <si>
    <t>Jane Doe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</si>
</sst>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1" xfId="0" applyFont="1" applyBorder="1" applyAlignment="1">
      <alignment vertical="top"/>
    </xf>
    <xf numFmtId="0" fontId="0" fillId="0" borderId="0" xfId="0" applyBorder="1" applyAlignment="1">
      <alignment vertical="top"/>
    </xf>
    <xf numFmtId="10" fontId="0" fillId="0" borderId="0" xfId="0" applyNumberFormat="1" applyBorder="1" applyAlignment="1">
      <alignment vertical="top"/>
    </xf>
    <xf numFmtId="0" fontId="2" fillId="0" borderId="0" xfId="0" applyFont="1" applyBorder="1"/>
    <xf numFmtId="0" fontId="0" fillId="0" borderId="0" xfId="0" applyAlignment="1">
      <alignment vertical="top"/>
    </xf>
    <xf numFmtId="10" fontId="0" fillId="0" borderId="0" xfId="0" applyNumberFormat="1" applyAlignment="1">
      <alignment vertical="top"/>
    </xf>
    <xf numFmtId="0" fontId="2" fillId="0" borderId="2" xfId="0" applyFont="1" applyBorder="1"/>
    <xf numFmtId="0" fontId="3" fillId="0" borderId="0" xfId="0" applyFont="1" applyBorder="1" applyAlignment="1"/>
    <xf numFmtId="0" fontId="0" fillId="0" borderId="0" xfId="0" applyBorder="1" applyAlignment="1"/>
    <xf numFmtId="10" fontId="0" fillId="0" borderId="0" xfId="0" applyNumberFormat="1" applyBorder="1" applyAlignment="1"/>
    <xf numFmtId="0" fontId="2" fillId="0" borderId="0" xfId="0" applyFont="1"/>
    <xf numFmtId="10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2" fillId="0" borderId="0" xfId="0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0" fontId="5" fillId="0" borderId="0" xfId="0" applyFont="1"/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" fontId="4" fillId="0" borderId="0" xfId="0" applyNumberFormat="1" applyFont="1" applyAlignment="1">
      <alignment horizontal="center"/>
    </xf>
    <xf numFmtId="0" fontId="0" fillId="0" borderId="0" xfId="0" applyAlignment="1">
      <alignment horizontal="left" indent="1"/>
    </xf>
    <xf numFmtId="0" fontId="6" fillId="0" borderId="0" xfId="0" applyFont="1" applyAlignment="1">
      <alignment horizontal="left" indent="3"/>
    </xf>
    <xf numFmtId="164" fontId="0" fillId="0" borderId="0" xfId="1" applyNumberFormat="1" applyFont="1"/>
    <xf numFmtId="164" fontId="0" fillId="0" borderId="0" xfId="0" applyNumberFormat="1"/>
    <xf numFmtId="9" fontId="0" fillId="0" borderId="0" xfId="0" applyNumberFormat="1"/>
    <xf numFmtId="164" fontId="3" fillId="0" borderId="0" xfId="1" applyNumberFormat="1" applyFont="1"/>
    <xf numFmtId="0" fontId="3" fillId="0" borderId="0" xfId="0" applyFont="1"/>
    <xf numFmtId="0" fontId="0" fillId="0" borderId="0" xfId="0" applyFill="1" applyAlignment="1">
      <alignment horizontal="center"/>
    </xf>
    <xf numFmtId="43" fontId="0" fillId="0" borderId="0" xfId="0" applyNumberFormat="1"/>
    <xf numFmtId="1" fontId="0" fillId="0" borderId="0" xfId="0" applyNumberFormat="1" applyFill="1" applyAlignment="1">
      <alignment horizontal="center"/>
    </xf>
    <xf numFmtId="0" fontId="6" fillId="0" borderId="0" xfId="0" applyFont="1" applyFill="1" applyAlignment="1">
      <alignment horizontal="left" indent="3"/>
    </xf>
    <xf numFmtId="164" fontId="0" fillId="0" borderId="3" xfId="1" applyNumberFormat="1" applyFont="1" applyBorder="1"/>
    <xf numFmtId="164" fontId="3" fillId="0" borderId="3" xfId="1" applyNumberFormat="1" applyFont="1" applyFill="1" applyBorder="1"/>
    <xf numFmtId="164" fontId="0" fillId="0" borderId="0" xfId="0" applyNumberFormat="1" applyBorder="1"/>
    <xf numFmtId="164" fontId="0" fillId="0" borderId="0" xfId="1" applyNumberFormat="1" applyFont="1" applyBorder="1"/>
    <xf numFmtId="164" fontId="3" fillId="0" borderId="0" xfId="1" applyNumberFormat="1" applyFont="1" applyFill="1" applyBorder="1"/>
    <xf numFmtId="10" fontId="0" fillId="0" borderId="0" xfId="0" applyNumberFormat="1" applyBorder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10" fontId="3" fillId="0" borderId="0" xfId="0" applyNumberFormat="1" applyFont="1"/>
    <xf numFmtId="0" fontId="0" fillId="0" borderId="0" xfId="0" applyFill="1"/>
    <xf numFmtId="0" fontId="0" fillId="0" borderId="0" xfId="0" applyBorder="1"/>
    <xf numFmtId="165" fontId="0" fillId="0" borderId="0" xfId="0" applyNumberFormat="1" applyAlignment="1">
      <alignment horizontal="center"/>
    </xf>
    <xf numFmtId="0" fontId="2" fillId="2" borderId="0" xfId="0" applyFont="1" applyFill="1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2" fillId="4" borderId="0" xfId="0" applyFont="1" applyFill="1"/>
    <xf numFmtId="0" fontId="0" fillId="4" borderId="0" xfId="0" applyFill="1"/>
    <xf numFmtId="0" fontId="3" fillId="5" borderId="0" xfId="0" applyFont="1" applyFill="1"/>
    <xf numFmtId="0" fontId="0" fillId="5" borderId="0" xfId="0" applyFill="1"/>
    <xf numFmtId="165" fontId="0" fillId="0" borderId="0" xfId="0" applyNumberFormat="1" applyFill="1" applyAlignment="1">
      <alignment horizontal="center"/>
    </xf>
    <xf numFmtId="165" fontId="3" fillId="0" borderId="0" xfId="2" applyNumberFormat="1" applyFont="1" applyFill="1" applyAlignment="1">
      <alignment horizontal="center"/>
    </xf>
    <xf numFmtId="0" fontId="2" fillId="5" borderId="0" xfId="0" applyFont="1" applyFill="1"/>
    <xf numFmtId="164" fontId="2" fillId="0" borderId="4" xfId="1" applyNumberFormat="1" applyFont="1" applyBorder="1"/>
    <xf numFmtId="164" fontId="2" fillId="0" borderId="5" xfId="1" applyNumberFormat="1" applyFont="1" applyBorder="1"/>
    <xf numFmtId="0" fontId="2" fillId="0" borderId="5" xfId="0" applyFont="1" applyBorder="1"/>
    <xf numFmtId="164" fontId="2" fillId="0" borderId="0" xfId="0" applyNumberFormat="1" applyFont="1"/>
    <xf numFmtId="10" fontId="2" fillId="0" borderId="0" xfId="0" applyNumberFormat="1" applyFont="1"/>
    <xf numFmtId="164" fontId="2" fillId="0" borderId="0" xfId="1" applyNumberFormat="1" applyFont="1"/>
    <xf numFmtId="164" fontId="2" fillId="0" borderId="6" xfId="1" applyNumberFormat="1" applyFont="1" applyBorder="1"/>
    <xf numFmtId="164" fontId="2" fillId="0" borderId="0" xfId="0" applyNumberFormat="1" applyFont="1" applyBorder="1"/>
    <xf numFmtId="10" fontId="2" fillId="0" borderId="0" xfId="0" applyNumberFormat="1" applyFont="1" applyBorder="1"/>
    <xf numFmtId="164" fontId="2" fillId="0" borderId="0" xfId="1" applyNumberFormat="1" applyFont="1" applyBorder="1"/>
    <xf numFmtId="164" fontId="2" fillId="0" borderId="4" xfId="0" applyNumberFormat="1" applyFont="1" applyBorder="1"/>
    <xf numFmtId="164" fontId="2" fillId="0" borderId="5" xfId="0" applyNumberFormat="1" applyFont="1" applyBorder="1"/>
    <xf numFmtId="0" fontId="1" fillId="0" borderId="0" xfId="3" applyNumberFormat="1" applyFont="1"/>
    <xf numFmtId="0" fontId="6" fillId="0" borderId="0" xfId="0" applyFont="1"/>
    <xf numFmtId="164" fontId="1" fillId="0" borderId="0" xfId="1" applyNumberFormat="1" applyFont="1"/>
    <xf numFmtId="164" fontId="1" fillId="0" borderId="3" xfId="1" applyNumberFormat="1" applyFont="1" applyBorder="1"/>
    <xf numFmtId="164" fontId="2" fillId="0" borderId="3" xfId="1" applyNumberFormat="1" applyFont="1" applyBorder="1"/>
    <xf numFmtId="0" fontId="0" fillId="0" borderId="2" xfId="0" applyBorder="1"/>
    <xf numFmtId="164" fontId="0" fillId="0" borderId="2" xfId="1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wrapText="1"/>
    </xf>
    <xf numFmtId="0" fontId="7" fillId="0" borderId="0" xfId="0" applyFont="1" applyAlignment="1">
      <alignment horizontal="right" vertical="top" wrapText="1"/>
    </xf>
    <xf numFmtId="0" fontId="0" fillId="0" borderId="0" xfId="0" applyAlignment="1">
      <alignment vertical="top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2" xfId="0" applyBorder="1" applyAlignment="1"/>
  </cellXfs>
  <cellStyles count="6">
    <cellStyle name="Comma" xfId="1" builtinId="3"/>
    <cellStyle name="Currency 2" xfId="3"/>
    <cellStyle name="Normal" xfId="0" builtinId="0"/>
    <cellStyle name="Normal 2" xfId="4"/>
    <cellStyle name="Percent" xfId="2" builtinId="5"/>
    <cellStyle name="Percent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9"/>
  <sheetViews>
    <sheetView tabSelected="1" zoomScaleNormal="100" workbookViewId="0">
      <selection activeCell="C9" sqref="C9"/>
    </sheetView>
  </sheetViews>
  <sheetFormatPr defaultColWidth="8.85546875" defaultRowHeight="12.75" x14ac:dyDescent="0.2"/>
  <cols>
    <col min="1" max="1" width="45.85546875" customWidth="1"/>
    <col min="2" max="4" width="9.42578125" customWidth="1"/>
    <col min="5" max="5" width="1.7109375" customWidth="1"/>
    <col min="6" max="6" width="9.42578125" customWidth="1"/>
    <col min="7" max="7" width="14.7109375" customWidth="1"/>
    <col min="8" max="8" width="1.7109375" customWidth="1"/>
    <col min="9" max="9" width="11.28515625" hidden="1" customWidth="1"/>
    <col min="10" max="10" width="11.7109375" hidden="1" customWidth="1"/>
    <col min="11" max="11" width="9.42578125" style="12" hidden="1" customWidth="1"/>
    <col min="12" max="12" width="9.140625" hidden="1" customWidth="1"/>
    <col min="13" max="13" width="10.28515625" hidden="1" customWidth="1"/>
    <col min="14" max="15" width="9.140625" hidden="1" customWidth="1"/>
    <col min="16" max="16" width="13.140625" hidden="1" customWidth="1"/>
    <col min="17" max="17" width="14.42578125" hidden="1" customWidth="1"/>
    <col min="18" max="18" width="12.7109375" hidden="1" customWidth="1"/>
    <col min="19" max="19" width="16.85546875" hidden="1" customWidth="1"/>
    <col min="20" max="22" width="8.85546875" hidden="1" customWidth="1"/>
    <col min="23" max="23" width="0" hidden="1" customWidth="1"/>
    <col min="27" max="28" width="0" hidden="1" customWidth="1"/>
    <col min="29" max="29" width="12.85546875" hidden="1" customWidth="1"/>
    <col min="30" max="31" width="0" hidden="1" customWidth="1"/>
  </cols>
  <sheetData>
    <row r="1" spans="1:19" ht="27" customHeight="1" x14ac:dyDescent="0.2">
      <c r="A1" s="1" t="s">
        <v>0</v>
      </c>
      <c r="B1" s="79" t="s">
        <v>89</v>
      </c>
      <c r="C1" s="80"/>
      <c r="D1" s="80"/>
      <c r="E1" s="80"/>
      <c r="F1" s="80"/>
      <c r="G1" s="80"/>
      <c r="H1" s="80"/>
      <c r="I1" s="2"/>
      <c r="J1" s="2"/>
      <c r="K1" s="3"/>
      <c r="O1" t="s">
        <v>1</v>
      </c>
      <c r="P1" t="s">
        <v>2</v>
      </c>
      <c r="Q1" t="s">
        <v>3</v>
      </c>
    </row>
    <row r="2" spans="1:19" ht="12.75" customHeight="1" x14ac:dyDescent="0.2">
      <c r="A2" s="4" t="s">
        <v>4</v>
      </c>
      <c r="B2" s="81" t="s">
        <v>90</v>
      </c>
      <c r="C2" s="78"/>
      <c r="D2" s="78"/>
      <c r="E2" s="78"/>
      <c r="F2" s="78"/>
      <c r="G2" s="78"/>
      <c r="H2" s="78"/>
      <c r="I2" s="5"/>
      <c r="J2" s="5"/>
      <c r="K2" s="6"/>
      <c r="O2">
        <v>26</v>
      </c>
      <c r="P2">
        <f>O2*2000/12</f>
        <v>4333.333333333333</v>
      </c>
      <c r="Q2">
        <f>P2/2</f>
        <v>2166.6666666666665</v>
      </c>
    </row>
    <row r="3" spans="1:19" x14ac:dyDescent="0.2">
      <c r="A3" s="4" t="s">
        <v>5</v>
      </c>
      <c r="B3" s="81" t="s">
        <v>91</v>
      </c>
      <c r="C3" s="78"/>
      <c r="D3" s="78"/>
      <c r="E3" s="78"/>
      <c r="F3" s="78"/>
      <c r="G3" s="78"/>
      <c r="H3" s="78"/>
      <c r="I3" s="5"/>
      <c r="J3" s="5"/>
      <c r="K3" s="6"/>
      <c r="O3">
        <v>20</v>
      </c>
      <c r="P3">
        <f>O3*2000/12</f>
        <v>3333.3333333333335</v>
      </c>
      <c r="Q3">
        <f>P3/2</f>
        <v>1666.6666666666667</v>
      </c>
    </row>
    <row r="4" spans="1:19" ht="13.5" thickBot="1" x14ac:dyDescent="0.25">
      <c r="A4" s="7" t="s">
        <v>6</v>
      </c>
      <c r="B4" s="82" t="s">
        <v>92</v>
      </c>
      <c r="C4" s="82"/>
      <c r="D4" s="82"/>
      <c r="E4" s="82"/>
      <c r="F4" s="82"/>
      <c r="G4" s="82"/>
      <c r="H4" s="82"/>
      <c r="I4" s="8" t="s">
        <v>8</v>
      </c>
      <c r="J4" s="9"/>
      <c r="K4" s="10"/>
    </row>
    <row r="5" spans="1:19" x14ac:dyDescent="0.2">
      <c r="A5" s="11" t="s">
        <v>9</v>
      </c>
    </row>
    <row r="6" spans="1:19" x14ac:dyDescent="0.2">
      <c r="B6" s="11"/>
      <c r="C6" s="13" t="s">
        <v>10</v>
      </c>
      <c r="D6" s="14"/>
      <c r="G6" s="13" t="s">
        <v>11</v>
      </c>
      <c r="I6" s="13"/>
      <c r="J6" s="13"/>
      <c r="K6" s="15"/>
      <c r="M6" s="75"/>
      <c r="N6" s="75"/>
    </row>
    <row r="7" spans="1:19" x14ac:dyDescent="0.2">
      <c r="K7" s="16" t="s">
        <v>12</v>
      </c>
    </row>
    <row r="8" spans="1:19" x14ac:dyDescent="0.2">
      <c r="A8" s="17" t="s">
        <v>13</v>
      </c>
      <c r="B8" s="18" t="s">
        <v>14</v>
      </c>
      <c r="C8" s="18"/>
      <c r="D8" s="18">
        <v>41275</v>
      </c>
      <c r="E8" s="19"/>
      <c r="F8" s="20"/>
      <c r="G8" s="20" t="s">
        <v>15</v>
      </c>
      <c r="I8" s="19"/>
      <c r="J8" s="19"/>
      <c r="K8" s="12" t="s">
        <v>16</v>
      </c>
      <c r="M8" s="19"/>
      <c r="N8" s="19"/>
      <c r="O8" s="19"/>
    </row>
    <row r="9" spans="1:19" x14ac:dyDescent="0.2">
      <c r="A9" s="21" t="s">
        <v>17</v>
      </c>
      <c r="S9">
        <v>931940147</v>
      </c>
    </row>
    <row r="10" spans="1:19" x14ac:dyDescent="0.2">
      <c r="A10" s="22" t="s">
        <v>18</v>
      </c>
      <c r="B10">
        <v>6445</v>
      </c>
      <c r="C10" s="14"/>
      <c r="D10" s="14">
        <v>1</v>
      </c>
      <c r="F10" s="23"/>
      <c r="G10" s="23">
        <f>D10*B10</f>
        <v>6445</v>
      </c>
      <c r="I10" s="24">
        <f>(G10+G26)*1.46</f>
        <v>12138.512999999999</v>
      </c>
      <c r="J10" s="24"/>
      <c r="K10" s="12">
        <f>D10/12</f>
        <v>8.3333333333333329E-2</v>
      </c>
      <c r="L10" t="s">
        <v>19</v>
      </c>
      <c r="M10" s="24"/>
      <c r="N10" s="24"/>
      <c r="O10" s="25"/>
    </row>
    <row r="11" spans="1:19" x14ac:dyDescent="0.2">
      <c r="A11" s="21" t="s">
        <v>20</v>
      </c>
      <c r="B11" s="14"/>
      <c r="C11" s="14"/>
      <c r="D11" s="14"/>
      <c r="F11" s="23"/>
      <c r="G11" s="23"/>
      <c r="I11" s="24"/>
      <c r="J11" s="24" t="s">
        <v>21</v>
      </c>
      <c r="K11" s="12">
        <f t="shared" ref="K11:K21" si="0">D11/12</f>
        <v>0</v>
      </c>
      <c r="M11" s="24"/>
      <c r="N11" s="24"/>
      <c r="O11" s="25"/>
    </row>
    <row r="12" spans="1:19" x14ac:dyDescent="0.2">
      <c r="A12" s="22" t="s">
        <v>72</v>
      </c>
      <c r="B12" s="14">
        <v>2252</v>
      </c>
      <c r="C12" s="14"/>
      <c r="D12" s="14">
        <v>6</v>
      </c>
      <c r="F12" s="26"/>
      <c r="G12" s="26">
        <f t="shared" ref="G12:G21" si="1">D12*B12</f>
        <v>13512</v>
      </c>
      <c r="I12" s="24">
        <f>(G12+G13+G14+G27+G28+G29)*1.46</f>
        <v>47627.948449999996</v>
      </c>
      <c r="J12" s="24">
        <f>I12+G67+G68</f>
        <v>60473.948449999996</v>
      </c>
      <c r="K12" s="12">
        <f t="shared" si="0"/>
        <v>0.5</v>
      </c>
      <c r="L12" s="27" t="s">
        <v>22</v>
      </c>
      <c r="M12" s="24"/>
      <c r="N12" s="24"/>
    </row>
    <row r="13" spans="1:19" x14ac:dyDescent="0.2">
      <c r="A13" s="22" t="s">
        <v>73</v>
      </c>
      <c r="B13" s="14">
        <v>2342</v>
      </c>
      <c r="C13" s="14"/>
      <c r="D13" s="14">
        <v>2.25</v>
      </c>
      <c r="F13" s="26"/>
      <c r="G13" s="26">
        <f t="shared" si="1"/>
        <v>5269.5</v>
      </c>
      <c r="J13" s="24"/>
      <c r="K13" s="12">
        <f t="shared" si="0"/>
        <v>0.1875</v>
      </c>
      <c r="L13" t="s">
        <v>23</v>
      </c>
      <c r="M13" s="24"/>
      <c r="N13" s="24"/>
    </row>
    <row r="14" spans="1:19" x14ac:dyDescent="0.2">
      <c r="A14" s="22" t="s">
        <v>74</v>
      </c>
      <c r="B14" s="28">
        <v>4160</v>
      </c>
      <c r="C14" s="14"/>
      <c r="D14" s="14">
        <v>2.5</v>
      </c>
      <c r="F14" s="26"/>
      <c r="G14" s="26">
        <f t="shared" si="1"/>
        <v>10400</v>
      </c>
      <c r="J14" s="24"/>
      <c r="K14" s="12">
        <f t="shared" si="0"/>
        <v>0.20833333333333334</v>
      </c>
      <c r="M14" s="24"/>
      <c r="N14" s="24"/>
    </row>
    <row r="15" spans="1:19" x14ac:dyDescent="0.2">
      <c r="A15" s="22" t="s">
        <v>74</v>
      </c>
      <c r="B15" s="28">
        <v>4160</v>
      </c>
      <c r="C15" s="14"/>
      <c r="D15" s="14">
        <v>2.5</v>
      </c>
      <c r="F15" s="26"/>
      <c r="G15" s="26">
        <f t="shared" si="1"/>
        <v>10400</v>
      </c>
      <c r="I15" s="24">
        <f>(G15+G16+G30+G31)*1.46</f>
        <v>22523.792299999997</v>
      </c>
      <c r="J15" s="29">
        <f>I15+G69</f>
        <v>26931.792299999997</v>
      </c>
      <c r="K15" s="12">
        <f t="shared" si="0"/>
        <v>0.20833333333333334</v>
      </c>
      <c r="M15" s="24"/>
      <c r="N15" s="24"/>
    </row>
    <row r="16" spans="1:19" x14ac:dyDescent="0.2">
      <c r="A16" s="22" t="s">
        <v>75</v>
      </c>
      <c r="B16" s="30">
        <v>2342</v>
      </c>
      <c r="C16" s="14"/>
      <c r="D16" s="14">
        <v>1.5</v>
      </c>
      <c r="F16" s="26"/>
      <c r="G16" s="26">
        <f t="shared" si="1"/>
        <v>3513</v>
      </c>
      <c r="I16" s="24"/>
      <c r="J16" s="24"/>
      <c r="K16" s="12">
        <f t="shared" si="0"/>
        <v>0.125</v>
      </c>
      <c r="M16" s="24"/>
      <c r="N16" s="24"/>
    </row>
    <row r="17" spans="1:30" x14ac:dyDescent="0.2">
      <c r="A17" s="22" t="s">
        <v>76</v>
      </c>
      <c r="B17" s="28">
        <v>3333</v>
      </c>
      <c r="C17" s="14"/>
      <c r="D17" s="14">
        <v>2.5</v>
      </c>
      <c r="F17" s="26"/>
      <c r="G17" s="26">
        <f t="shared" si="1"/>
        <v>8332.5</v>
      </c>
      <c r="I17" s="24">
        <f>(G17+G32)*1.46</f>
        <v>13381.994999999999</v>
      </c>
      <c r="J17" s="24"/>
      <c r="K17" s="12">
        <f t="shared" si="0"/>
        <v>0.20833333333333334</v>
      </c>
      <c r="M17" s="24"/>
      <c r="N17" s="24"/>
    </row>
    <row r="18" spans="1:30" x14ac:dyDescent="0.2">
      <c r="A18" s="22" t="s">
        <v>77</v>
      </c>
      <c r="B18" s="28">
        <v>3333</v>
      </c>
      <c r="C18" s="14"/>
      <c r="D18" s="14">
        <v>1.5</v>
      </c>
      <c r="F18" s="26"/>
      <c r="G18" s="26">
        <f t="shared" si="1"/>
        <v>4999.5</v>
      </c>
      <c r="I18" s="24">
        <v>7883</v>
      </c>
      <c r="J18" s="24"/>
      <c r="K18" s="12">
        <f t="shared" si="0"/>
        <v>0.125</v>
      </c>
      <c r="M18" s="24"/>
      <c r="N18" s="24"/>
    </row>
    <row r="19" spans="1:30" x14ac:dyDescent="0.2">
      <c r="A19" s="31" t="s">
        <v>78</v>
      </c>
      <c r="B19" s="28">
        <v>3333</v>
      </c>
      <c r="C19" s="14"/>
      <c r="D19" s="14">
        <v>4</v>
      </c>
      <c r="F19" s="26"/>
      <c r="G19" s="26">
        <f t="shared" si="1"/>
        <v>13332</v>
      </c>
      <c r="I19" s="24">
        <f>(G19+G34)*1.46</f>
        <v>27250.607999999997</v>
      </c>
      <c r="J19" s="24"/>
      <c r="K19" s="12">
        <f t="shared" si="0"/>
        <v>0.33333333333333331</v>
      </c>
      <c r="M19" s="24"/>
      <c r="N19" s="24"/>
    </row>
    <row r="20" spans="1:30" x14ac:dyDescent="0.2">
      <c r="A20" s="31" t="s">
        <v>78</v>
      </c>
      <c r="B20" s="28">
        <v>3333</v>
      </c>
      <c r="C20" s="14"/>
      <c r="D20" s="14">
        <v>2.5</v>
      </c>
      <c r="F20" s="26"/>
      <c r="G20" s="26">
        <f t="shared" si="1"/>
        <v>8332.5</v>
      </c>
      <c r="I20" s="24">
        <f>(G20+G35)*1.46</f>
        <v>13868.612999999999</v>
      </c>
      <c r="J20" s="24"/>
      <c r="K20" s="12">
        <f t="shared" si="0"/>
        <v>0.20833333333333334</v>
      </c>
      <c r="M20" s="24"/>
      <c r="N20" s="24"/>
    </row>
    <row r="21" spans="1:30" x14ac:dyDescent="0.2">
      <c r="A21" s="22" t="s">
        <v>79</v>
      </c>
      <c r="B21" s="28">
        <v>2000</v>
      </c>
      <c r="C21" s="14"/>
      <c r="D21" s="14">
        <v>2</v>
      </c>
      <c r="F21" s="32"/>
      <c r="G21" s="33">
        <f t="shared" si="1"/>
        <v>4000</v>
      </c>
      <c r="I21" s="24">
        <f>(G21+G36)*1.46</f>
        <v>9227.1999999999989</v>
      </c>
      <c r="J21" s="34"/>
      <c r="K21" s="12">
        <f t="shared" si="0"/>
        <v>0.16666666666666666</v>
      </c>
      <c r="P21" t="s">
        <v>24</v>
      </c>
      <c r="Q21" t="s">
        <v>25</v>
      </c>
    </row>
    <row r="22" spans="1:30" x14ac:dyDescent="0.2">
      <c r="A22" s="22"/>
      <c r="B22" s="28"/>
      <c r="C22" s="14"/>
      <c r="D22" s="14"/>
      <c r="F22" s="35"/>
      <c r="G22" s="36"/>
      <c r="I22" s="34"/>
      <c r="J22" s="34"/>
      <c r="K22" s="37"/>
      <c r="P22" t="s">
        <v>26</v>
      </c>
      <c r="Q22" t="s">
        <v>27</v>
      </c>
      <c r="AB22" t="s">
        <v>28</v>
      </c>
      <c r="AC22">
        <v>931634083</v>
      </c>
    </row>
    <row r="23" spans="1:30" x14ac:dyDescent="0.2">
      <c r="A23" s="38"/>
      <c r="B23" s="39"/>
      <c r="C23" s="39"/>
      <c r="D23" s="38" t="s">
        <v>29</v>
      </c>
      <c r="E23" s="27"/>
      <c r="F23" s="26"/>
      <c r="G23" s="26">
        <f>SUM(G9:G21)</f>
        <v>88536</v>
      </c>
      <c r="H23" s="27"/>
      <c r="I23" s="40">
        <f>SUM(I10:I21)</f>
        <v>153901.66975</v>
      </c>
      <c r="J23" s="40"/>
      <c r="K23" s="41"/>
      <c r="P23" t="s">
        <v>30</v>
      </c>
      <c r="Q23" t="s">
        <v>31</v>
      </c>
      <c r="AB23" t="s">
        <v>32</v>
      </c>
      <c r="AC23">
        <v>931729535</v>
      </c>
    </row>
    <row r="24" spans="1:30" x14ac:dyDescent="0.2">
      <c r="B24" s="14"/>
      <c r="C24" s="14"/>
      <c r="D24" s="14"/>
      <c r="F24" s="23"/>
      <c r="G24" s="23"/>
      <c r="I24" s="24"/>
      <c r="J24" s="24"/>
      <c r="Q24" s="42"/>
      <c r="R24" s="42"/>
      <c r="S24" s="42"/>
      <c r="T24" s="42"/>
      <c r="AB24" t="s">
        <v>33</v>
      </c>
      <c r="AC24">
        <v>930703107</v>
      </c>
    </row>
    <row r="25" spans="1:30" x14ac:dyDescent="0.2">
      <c r="A25" s="21" t="s">
        <v>34</v>
      </c>
      <c r="B25" s="14"/>
      <c r="C25" s="14"/>
      <c r="D25" s="14"/>
      <c r="F25" s="35"/>
      <c r="G25" s="35"/>
      <c r="H25" s="43"/>
      <c r="I25" s="34"/>
      <c r="J25" s="34"/>
      <c r="K25" s="37"/>
      <c r="M25" s="19">
        <f>26*2000</f>
        <v>52000</v>
      </c>
    </row>
    <row r="26" spans="1:30" x14ac:dyDescent="0.2">
      <c r="A26" s="22" t="s">
        <v>7</v>
      </c>
      <c r="B26" s="44"/>
      <c r="C26" s="44"/>
      <c r="D26" s="44">
        <v>0.28999999999999998</v>
      </c>
      <c r="F26" s="35"/>
      <c r="G26" s="35">
        <f>G10*D26</f>
        <v>1869.05</v>
      </c>
      <c r="I26" s="34"/>
      <c r="J26" s="34"/>
      <c r="K26" s="37"/>
    </row>
    <row r="27" spans="1:30" x14ac:dyDescent="0.2">
      <c r="A27" s="22" t="s">
        <v>80</v>
      </c>
      <c r="B27" s="44"/>
      <c r="C27" s="44"/>
      <c r="D27" s="44">
        <v>0.125</v>
      </c>
      <c r="F27" s="35"/>
      <c r="G27" s="35">
        <f>D27*G12</f>
        <v>1689</v>
      </c>
      <c r="I27" s="34"/>
      <c r="J27" s="34">
        <f>I20+I18</f>
        <v>21751.612999999998</v>
      </c>
      <c r="K27" s="37"/>
    </row>
    <row r="28" spans="1:30" x14ac:dyDescent="0.2">
      <c r="A28" s="22" t="s">
        <v>81</v>
      </c>
      <c r="B28" s="44"/>
      <c r="C28" s="44"/>
      <c r="D28" s="44">
        <v>0.13500000000000001</v>
      </c>
      <c r="F28" s="35"/>
      <c r="G28" s="35">
        <f>(G13)*D28</f>
        <v>711.38250000000005</v>
      </c>
      <c r="I28" s="34"/>
      <c r="J28" s="34"/>
      <c r="K28" s="37"/>
      <c r="M28" s="45" t="s">
        <v>35</v>
      </c>
      <c r="N28" s="46"/>
      <c r="O28" s="46"/>
      <c r="P28" s="46"/>
      <c r="Q28" s="46"/>
      <c r="R28" s="46"/>
    </row>
    <row r="29" spans="1:30" x14ac:dyDescent="0.2">
      <c r="A29" s="22" t="s">
        <v>82</v>
      </c>
      <c r="B29" s="44"/>
      <c r="C29" s="44"/>
      <c r="D29" s="44">
        <v>0.1</v>
      </c>
      <c r="F29" s="35"/>
      <c r="G29" s="35">
        <f>G14*D29</f>
        <v>1040</v>
      </c>
      <c r="I29" s="34"/>
      <c r="J29" s="34"/>
      <c r="K29" s="37"/>
      <c r="M29" s="47" t="s">
        <v>36</v>
      </c>
      <c r="N29" s="48"/>
      <c r="O29" s="48"/>
      <c r="P29" s="48"/>
      <c r="Q29" s="48"/>
    </row>
    <row r="30" spans="1:30" x14ac:dyDescent="0.2">
      <c r="A30" s="22" t="s">
        <v>82</v>
      </c>
      <c r="B30" s="44"/>
      <c r="C30" s="44"/>
      <c r="D30" s="44">
        <v>0.1</v>
      </c>
      <c r="F30" s="35"/>
      <c r="G30" s="35">
        <f t="shared" ref="G30:G36" si="2">D30*G15</f>
        <v>1040</v>
      </c>
      <c r="I30" s="34"/>
      <c r="J30" s="34"/>
      <c r="K30" s="37"/>
      <c r="AB30" t="s">
        <v>37</v>
      </c>
    </row>
    <row r="31" spans="1:30" x14ac:dyDescent="0.2">
      <c r="A31" s="22" t="s">
        <v>83</v>
      </c>
      <c r="B31" s="44"/>
      <c r="C31" s="44"/>
      <c r="D31" s="44">
        <v>0.13500000000000001</v>
      </c>
      <c r="F31" s="35"/>
      <c r="G31" s="35">
        <f t="shared" si="2"/>
        <v>474.25500000000005</v>
      </c>
      <c r="I31" s="34"/>
      <c r="J31" s="34"/>
      <c r="K31" s="37"/>
    </row>
    <row r="32" spans="1:30" x14ac:dyDescent="0.2">
      <c r="A32" s="22" t="s">
        <v>82</v>
      </c>
      <c r="B32" s="44"/>
      <c r="C32" s="44"/>
      <c r="D32" s="44">
        <v>0.1</v>
      </c>
      <c r="F32" s="35"/>
      <c r="G32" s="35">
        <f t="shared" si="2"/>
        <v>833.25</v>
      </c>
      <c r="I32" s="34"/>
      <c r="J32" s="34"/>
      <c r="K32" s="37"/>
      <c r="M32" s="49" t="s">
        <v>38</v>
      </c>
      <c r="N32" s="50"/>
      <c r="O32" s="50"/>
      <c r="P32" s="50"/>
      <c r="Q32" s="50"/>
      <c r="R32" s="50"/>
      <c r="S32" s="50"/>
      <c r="T32" s="50"/>
      <c r="U32" s="50"/>
      <c r="AB32" t="s">
        <v>39</v>
      </c>
      <c r="AD32">
        <f>2320.68+1282.62+2565.24+1132.43</f>
        <v>7300.9699999999993</v>
      </c>
    </row>
    <row r="33" spans="1:30" x14ac:dyDescent="0.2">
      <c r="A33" s="22" t="s">
        <v>84</v>
      </c>
      <c r="B33" s="44"/>
      <c r="C33" s="44"/>
      <c r="D33" s="44">
        <v>0.08</v>
      </c>
      <c r="F33" s="35"/>
      <c r="G33" s="35">
        <f t="shared" si="2"/>
        <v>399.96000000000004</v>
      </c>
      <c r="I33" s="34"/>
      <c r="J33" s="34"/>
      <c r="K33" s="37"/>
      <c r="M33" s="51"/>
      <c r="N33" s="52"/>
      <c r="O33" s="52"/>
      <c r="P33" s="52"/>
      <c r="Q33" s="52"/>
      <c r="R33" s="52"/>
      <c r="S33" s="52"/>
      <c r="T33" s="52"/>
      <c r="U33" s="52"/>
      <c r="AB33" t="s">
        <v>40</v>
      </c>
      <c r="AD33">
        <f>2671.06+2400.09+1238.76+4803.89</f>
        <v>11113.8</v>
      </c>
    </row>
    <row r="34" spans="1:30" x14ac:dyDescent="0.2">
      <c r="A34" s="31" t="s">
        <v>78</v>
      </c>
      <c r="B34" s="53"/>
      <c r="C34" s="53"/>
      <c r="D34" s="54">
        <v>0.4</v>
      </c>
      <c r="F34" s="35"/>
      <c r="G34" s="35">
        <f t="shared" si="2"/>
        <v>5332.8</v>
      </c>
      <c r="I34" s="34"/>
      <c r="J34" s="34"/>
      <c r="K34" s="37"/>
      <c r="M34" s="49" t="s">
        <v>41</v>
      </c>
      <c r="N34" s="50"/>
      <c r="O34" s="50"/>
      <c r="P34" s="50"/>
      <c r="Q34" s="50"/>
      <c r="R34" s="50"/>
    </row>
    <row r="35" spans="1:30" x14ac:dyDescent="0.2">
      <c r="A35" s="31" t="s">
        <v>78</v>
      </c>
      <c r="B35" s="53"/>
      <c r="C35" s="53"/>
      <c r="D35" s="53">
        <v>0.14000000000000001</v>
      </c>
      <c r="F35" s="35"/>
      <c r="G35" s="35">
        <f t="shared" si="2"/>
        <v>1166.5500000000002</v>
      </c>
      <c r="I35" s="34"/>
      <c r="J35" s="34"/>
      <c r="K35" s="37"/>
    </row>
    <row r="36" spans="1:30" x14ac:dyDescent="0.2">
      <c r="A36" s="31" t="s">
        <v>85</v>
      </c>
      <c r="B36" s="53"/>
      <c r="C36" s="53"/>
      <c r="D36" s="53">
        <v>0.57999999999999996</v>
      </c>
      <c r="F36" s="35"/>
      <c r="G36" s="35">
        <f t="shared" si="2"/>
        <v>2320</v>
      </c>
      <c r="I36" s="34"/>
      <c r="J36" s="34"/>
      <c r="K36" s="37"/>
      <c r="M36" s="55" t="s">
        <v>42</v>
      </c>
      <c r="N36" s="52"/>
      <c r="O36" s="52"/>
      <c r="P36" s="52"/>
      <c r="Q36" s="52"/>
      <c r="R36" s="52"/>
      <c r="S36" s="52"/>
      <c r="T36" s="52"/>
      <c r="U36" s="52"/>
      <c r="V36" s="52"/>
    </row>
    <row r="37" spans="1:30" x14ac:dyDescent="0.2">
      <c r="A37" s="38"/>
      <c r="B37" s="14"/>
      <c r="C37" s="14"/>
      <c r="D37" s="38" t="s">
        <v>43</v>
      </c>
      <c r="F37" s="35"/>
      <c r="G37" s="35">
        <f>SUM(G25:G36)</f>
        <v>16876.247500000001</v>
      </c>
      <c r="I37" s="34"/>
      <c r="J37" s="34"/>
      <c r="K37" s="37"/>
    </row>
    <row r="38" spans="1:30" x14ac:dyDescent="0.2">
      <c r="A38" s="38"/>
      <c r="B38" s="14"/>
      <c r="C38" s="14"/>
      <c r="D38" s="38"/>
      <c r="F38" s="35"/>
      <c r="G38" s="35"/>
      <c r="I38" s="34"/>
      <c r="J38" s="34"/>
      <c r="K38" s="37"/>
    </row>
    <row r="39" spans="1:30" s="11" customFormat="1" x14ac:dyDescent="0.2">
      <c r="B39" s="13"/>
      <c r="C39" s="13"/>
      <c r="D39" s="38" t="s">
        <v>44</v>
      </c>
      <c r="F39" s="56"/>
      <c r="G39" s="57">
        <f>G23+G37</f>
        <v>105412.2475</v>
      </c>
      <c r="H39" s="58"/>
      <c r="I39" s="59"/>
      <c r="J39" s="59"/>
      <c r="K39" s="60"/>
    </row>
    <row r="40" spans="1:30" s="11" customFormat="1" x14ac:dyDescent="0.2">
      <c r="B40" s="13"/>
      <c r="C40" s="13"/>
      <c r="D40" s="38"/>
      <c r="F40" s="61"/>
      <c r="G40" s="61"/>
      <c r="I40" s="59"/>
      <c r="J40" s="59"/>
      <c r="K40" s="60"/>
    </row>
    <row r="41" spans="1:30" x14ac:dyDescent="0.2">
      <c r="A41" s="17" t="s">
        <v>45</v>
      </c>
      <c r="B41" s="14"/>
      <c r="C41" s="14"/>
      <c r="D41" s="14"/>
      <c r="F41" s="23"/>
      <c r="G41" s="23"/>
      <c r="I41" s="24"/>
      <c r="J41" s="24"/>
    </row>
    <row r="42" spans="1:30" x14ac:dyDescent="0.2">
      <c r="A42" s="21" t="s">
        <v>46</v>
      </c>
      <c r="F42" s="23"/>
      <c r="G42" s="23">
        <v>0</v>
      </c>
      <c r="I42" s="24"/>
      <c r="J42" s="24"/>
    </row>
    <row r="43" spans="1:30" x14ac:dyDescent="0.2">
      <c r="A43" s="21"/>
      <c r="D43" s="38" t="s">
        <v>47</v>
      </c>
      <c r="F43" s="62"/>
      <c r="G43" s="62">
        <f>SUM(G42:G42)</f>
        <v>0</v>
      </c>
      <c r="H43" s="11"/>
      <c r="I43" s="24"/>
      <c r="J43" s="24"/>
    </row>
    <row r="44" spans="1:30" x14ac:dyDescent="0.2">
      <c r="A44" s="21"/>
      <c r="F44" s="23"/>
      <c r="G44" s="23"/>
      <c r="I44" s="24"/>
      <c r="J44" s="24"/>
    </row>
    <row r="45" spans="1:30" x14ac:dyDescent="0.2">
      <c r="A45" s="21" t="s">
        <v>48</v>
      </c>
      <c r="B45" s="14"/>
      <c r="C45" s="14"/>
      <c r="D45" s="14"/>
      <c r="F45" s="23"/>
      <c r="G45" s="23"/>
      <c r="I45" s="24"/>
      <c r="J45" s="24"/>
    </row>
    <row r="46" spans="1:30" x14ac:dyDescent="0.2">
      <c r="A46" s="22" t="s">
        <v>49</v>
      </c>
      <c r="B46" s="14"/>
      <c r="C46" s="14"/>
      <c r="D46" s="14"/>
      <c r="F46" s="23"/>
      <c r="G46" s="23">
        <v>4000</v>
      </c>
      <c r="I46" s="24"/>
      <c r="J46" s="24"/>
    </row>
    <row r="47" spans="1:30" x14ac:dyDescent="0.2">
      <c r="A47" s="22" t="s">
        <v>50</v>
      </c>
      <c r="F47" s="35"/>
      <c r="G47" s="35">
        <v>0</v>
      </c>
      <c r="H47" s="43"/>
      <c r="I47" s="34"/>
      <c r="J47" s="34"/>
      <c r="K47" s="37"/>
    </row>
    <row r="48" spans="1:30" x14ac:dyDescent="0.2">
      <c r="A48" s="22"/>
      <c r="F48" s="35"/>
      <c r="G48" s="35"/>
      <c r="I48" s="34"/>
      <c r="J48" s="34"/>
      <c r="K48" s="37"/>
    </row>
    <row r="49" spans="1:11" x14ac:dyDescent="0.2">
      <c r="D49" s="38" t="s">
        <v>51</v>
      </c>
      <c r="F49" s="62"/>
      <c r="G49" s="62">
        <f>SUM(G45:G47)</f>
        <v>4000</v>
      </c>
      <c r="H49" s="11"/>
      <c r="I49" s="63">
        <f>G49*1.46</f>
        <v>5840</v>
      </c>
      <c r="J49" s="63"/>
      <c r="K49" s="64"/>
    </row>
    <row r="50" spans="1:11" x14ac:dyDescent="0.2">
      <c r="A50" s="21" t="s">
        <v>52</v>
      </c>
      <c r="F50" s="23"/>
      <c r="G50" s="23"/>
      <c r="I50" s="24"/>
      <c r="J50" s="24"/>
    </row>
    <row r="51" spans="1:11" x14ac:dyDescent="0.2">
      <c r="A51" s="22"/>
      <c r="F51" s="35"/>
      <c r="G51" s="35"/>
      <c r="I51" s="34"/>
      <c r="J51" s="34"/>
      <c r="K51" s="37"/>
    </row>
    <row r="52" spans="1:11" x14ac:dyDescent="0.2">
      <c r="D52" s="38" t="s">
        <v>53</v>
      </c>
      <c r="F52" s="62"/>
      <c r="G52" s="62">
        <f>SUM(G50:G50)</f>
        <v>0</v>
      </c>
      <c r="H52" s="11"/>
      <c r="I52" s="63"/>
      <c r="J52" s="63"/>
      <c r="K52" s="64"/>
    </row>
    <row r="53" spans="1:11" x14ac:dyDescent="0.2">
      <c r="A53" s="21" t="s">
        <v>54</v>
      </c>
      <c r="F53" s="23"/>
      <c r="G53" s="23"/>
      <c r="I53" s="24"/>
      <c r="J53" s="24"/>
    </row>
    <row r="54" spans="1:11" x14ac:dyDescent="0.2">
      <c r="A54" s="22" t="s">
        <v>55</v>
      </c>
      <c r="F54" s="23"/>
      <c r="G54" s="23">
        <v>0</v>
      </c>
      <c r="I54" s="24"/>
      <c r="J54" s="24"/>
    </row>
    <row r="55" spans="1:11" x14ac:dyDescent="0.2">
      <c r="A55" s="22" t="s">
        <v>56</v>
      </c>
      <c r="F55" s="23"/>
      <c r="G55" s="23">
        <v>500</v>
      </c>
      <c r="I55" s="24"/>
      <c r="J55" s="24"/>
    </row>
    <row r="56" spans="1:11" x14ac:dyDescent="0.2">
      <c r="A56" s="22" t="s">
        <v>57</v>
      </c>
      <c r="F56" s="23"/>
      <c r="G56" s="23"/>
      <c r="I56" s="24"/>
      <c r="J56" s="24"/>
    </row>
    <row r="57" spans="1:11" x14ac:dyDescent="0.2">
      <c r="A57" s="22" t="s">
        <v>58</v>
      </c>
      <c r="F57" s="23"/>
      <c r="G57" s="23">
        <v>500</v>
      </c>
      <c r="I57" s="24"/>
      <c r="J57" s="24"/>
    </row>
    <row r="58" spans="1:11" x14ac:dyDescent="0.2">
      <c r="A58" s="22" t="s">
        <v>59</v>
      </c>
      <c r="F58" s="23"/>
      <c r="G58" s="23"/>
      <c r="I58" s="24"/>
      <c r="J58" s="24"/>
    </row>
    <row r="59" spans="1:11" x14ac:dyDescent="0.2">
      <c r="A59" s="22" t="s">
        <v>60</v>
      </c>
      <c r="F59" s="23"/>
      <c r="G59" s="23"/>
      <c r="I59" s="24"/>
      <c r="J59" s="24"/>
    </row>
    <row r="60" spans="1:11" x14ac:dyDescent="0.2">
      <c r="A60" s="22" t="s">
        <v>61</v>
      </c>
      <c r="F60" s="23"/>
      <c r="G60" s="23"/>
      <c r="I60" s="24"/>
      <c r="J60" s="24"/>
    </row>
    <row r="61" spans="1:11" x14ac:dyDescent="0.2">
      <c r="A61" s="22" t="s">
        <v>62</v>
      </c>
      <c r="F61" s="23"/>
      <c r="G61" s="23"/>
      <c r="H61" s="43"/>
      <c r="I61" s="34"/>
      <c r="J61" s="34"/>
      <c r="K61" s="37"/>
    </row>
    <row r="62" spans="1:11" x14ac:dyDescent="0.2">
      <c r="A62" s="22"/>
      <c r="F62" s="35"/>
      <c r="G62" s="35"/>
      <c r="I62" s="34"/>
      <c r="J62" s="34"/>
      <c r="K62" s="37"/>
    </row>
    <row r="63" spans="1:11" x14ac:dyDescent="0.2">
      <c r="D63" s="38" t="s">
        <v>63</v>
      </c>
      <c r="F63" s="62"/>
      <c r="G63" s="62">
        <f>SUM(G53:G61)</f>
        <v>1000</v>
      </c>
      <c r="H63" s="11"/>
      <c r="I63" s="63">
        <f>G63*1.46</f>
        <v>1460</v>
      </c>
      <c r="J63" s="63"/>
      <c r="K63" s="64"/>
    </row>
    <row r="64" spans="1:11" x14ac:dyDescent="0.2">
      <c r="D64" s="38"/>
      <c r="F64" s="65"/>
      <c r="G64" s="65"/>
      <c r="H64" s="11"/>
      <c r="I64" s="63"/>
      <c r="J64" s="63"/>
      <c r="K64" s="64"/>
    </row>
    <row r="65" spans="1:11" x14ac:dyDescent="0.2">
      <c r="D65" s="38" t="s">
        <v>64</v>
      </c>
      <c r="F65" s="66"/>
      <c r="G65" s="67">
        <f>G63+G52+G49+G43</f>
        <v>5000</v>
      </c>
      <c r="H65" s="58"/>
      <c r="I65" s="24"/>
      <c r="J65" s="24"/>
    </row>
    <row r="66" spans="1:11" ht="15" x14ac:dyDescent="0.25">
      <c r="A66" s="17" t="s">
        <v>65</v>
      </c>
      <c r="B66">
        <v>0</v>
      </c>
      <c r="C66">
        <v>2</v>
      </c>
      <c r="F66" s="61"/>
      <c r="G66" s="68">
        <f>B66*C66</f>
        <v>0</v>
      </c>
      <c r="H66" s="11"/>
      <c r="I66" s="59"/>
      <c r="J66" s="59"/>
      <c r="K66" s="60"/>
    </row>
    <row r="67" spans="1:11" ht="15" x14ac:dyDescent="0.25">
      <c r="A67" s="69" t="s">
        <v>86</v>
      </c>
      <c r="B67">
        <v>4219</v>
      </c>
      <c r="C67">
        <v>2</v>
      </c>
      <c r="F67" s="61"/>
      <c r="G67" s="70">
        <f>B67*C67</f>
        <v>8438</v>
      </c>
      <c r="H67" s="11"/>
      <c r="I67" s="59"/>
      <c r="J67" s="59"/>
      <c r="K67" s="60"/>
    </row>
    <row r="68" spans="1:11" ht="15" x14ac:dyDescent="0.25">
      <c r="A68" s="69" t="s">
        <v>87</v>
      </c>
      <c r="B68">
        <v>4408</v>
      </c>
      <c r="C68">
        <v>1</v>
      </c>
      <c r="F68" s="61"/>
      <c r="G68" s="71">
        <f>B68*C68</f>
        <v>4408</v>
      </c>
      <c r="H68" s="11"/>
      <c r="I68" s="59"/>
      <c r="J68" s="59"/>
      <c r="K68" s="60"/>
    </row>
    <row r="69" spans="1:11" ht="15" x14ac:dyDescent="0.25">
      <c r="A69" s="69" t="s">
        <v>88</v>
      </c>
      <c r="B69">
        <v>4408</v>
      </c>
      <c r="C69">
        <v>1</v>
      </c>
      <c r="F69" s="72"/>
      <c r="G69" s="71">
        <f>B69*C69</f>
        <v>4408</v>
      </c>
      <c r="H69" s="11"/>
      <c r="I69" s="59"/>
      <c r="J69" s="59"/>
      <c r="K69" s="60"/>
    </row>
    <row r="70" spans="1:11" x14ac:dyDescent="0.2">
      <c r="A70" s="11" t="s">
        <v>66</v>
      </c>
      <c r="F70" s="23"/>
      <c r="G70" s="23">
        <f>SUM(G67:G69)</f>
        <v>17254</v>
      </c>
      <c r="I70" s="24">
        <f>G70</f>
        <v>17254</v>
      </c>
      <c r="J70" s="24"/>
    </row>
    <row r="71" spans="1:11" x14ac:dyDescent="0.2">
      <c r="A71" s="11"/>
      <c r="F71" s="23"/>
      <c r="G71" s="23"/>
      <c r="I71" s="24"/>
      <c r="J71" s="24"/>
    </row>
    <row r="72" spans="1:11" x14ac:dyDescent="0.2">
      <c r="A72" s="11"/>
      <c r="F72" s="23"/>
      <c r="G72" s="23"/>
      <c r="I72" s="24"/>
      <c r="J72" s="24"/>
    </row>
    <row r="73" spans="1:11" x14ac:dyDescent="0.2">
      <c r="D73" s="38" t="s">
        <v>67</v>
      </c>
      <c r="F73" s="23"/>
      <c r="G73" s="23">
        <f>G39+G42+G49+G52+G63+G70</f>
        <v>127666.2475</v>
      </c>
      <c r="I73" s="24"/>
      <c r="J73" s="24"/>
    </row>
    <row r="74" spans="1:11" x14ac:dyDescent="0.2">
      <c r="A74" s="76" t="s">
        <v>68</v>
      </c>
      <c r="B74" s="76"/>
      <c r="C74" s="76"/>
      <c r="D74" s="76"/>
      <c r="F74" s="23"/>
      <c r="G74" s="23">
        <f>G73-G42-G52-G70</f>
        <v>110412.2475</v>
      </c>
      <c r="I74" s="24"/>
      <c r="J74" s="24"/>
    </row>
    <row r="75" spans="1:11" ht="23.25" customHeight="1" x14ac:dyDescent="0.2">
      <c r="A75" s="77" t="s">
        <v>69</v>
      </c>
      <c r="B75" s="78"/>
      <c r="C75" s="78"/>
      <c r="D75" s="78"/>
      <c r="F75" s="23"/>
      <c r="G75" s="23"/>
      <c r="I75" s="24"/>
      <c r="J75" s="24"/>
    </row>
    <row r="76" spans="1:11" x14ac:dyDescent="0.2">
      <c r="D76" s="38" t="s">
        <v>70</v>
      </c>
      <c r="F76" s="35"/>
      <c r="G76" s="35">
        <f>+G74*0.46</f>
        <v>50789.633849999998</v>
      </c>
      <c r="H76" s="43"/>
      <c r="I76" s="34"/>
      <c r="J76" s="34"/>
      <c r="K76" s="37"/>
    </row>
    <row r="77" spans="1:11" ht="23.25" customHeight="1" x14ac:dyDescent="0.2">
      <c r="A77" s="77"/>
      <c r="B77" s="78"/>
      <c r="C77" s="78"/>
      <c r="D77" s="78"/>
      <c r="F77" s="23"/>
      <c r="G77" s="23"/>
      <c r="I77" s="24"/>
      <c r="J77" s="24"/>
    </row>
    <row r="78" spans="1:11" x14ac:dyDescent="0.2">
      <c r="A78" s="11"/>
      <c r="B78" s="11"/>
      <c r="C78" s="11"/>
      <c r="D78" s="38" t="s">
        <v>71</v>
      </c>
      <c r="E78" s="11"/>
      <c r="F78" s="56"/>
      <c r="G78" s="57">
        <f>G73+G76</f>
        <v>178455.88134999998</v>
      </c>
      <c r="H78" s="58"/>
      <c r="I78" s="63">
        <f>I70+I63+I49+I23</f>
        <v>178455.66975</v>
      </c>
      <c r="J78" s="63"/>
      <c r="K78" s="64"/>
    </row>
    <row r="79" spans="1:11" ht="13.5" thickBot="1" x14ac:dyDescent="0.25">
      <c r="A79" s="73"/>
      <c r="B79" s="73"/>
      <c r="C79" s="73"/>
      <c r="D79" s="73"/>
      <c r="E79" s="73"/>
      <c r="F79" s="74"/>
      <c r="G79" s="74"/>
      <c r="H79" s="73"/>
      <c r="I79" s="43"/>
      <c r="J79" s="43"/>
      <c r="K79" s="37"/>
    </row>
  </sheetData>
  <mergeCells count="8">
    <mergeCell ref="M6:N6"/>
    <mergeCell ref="A74:D74"/>
    <mergeCell ref="A75:D75"/>
    <mergeCell ref="A77:D77"/>
    <mergeCell ref="B1:H1"/>
    <mergeCell ref="B2:H2"/>
    <mergeCell ref="B3:H3"/>
    <mergeCell ref="B4:H4"/>
  </mergeCells>
  <pageMargins left="0.5" right="0.5" top="0.6" bottom="0.5" header="0.2" footer="0.5"/>
  <pageSetup scale="91" orientation="portrait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Revised budget</vt:lpstr>
      <vt:lpstr>'Revised budget'!Print_Area</vt:lpstr>
    </vt:vector>
  </TitlesOfParts>
  <Company>osu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jloftus</dc:creator>
  <cp:lastModifiedBy>jg2345</cp:lastModifiedBy>
  <dcterms:created xsi:type="dcterms:W3CDTF">2013-02-26T23:25:08Z</dcterms:created>
  <dcterms:modified xsi:type="dcterms:W3CDTF">2013-09-23T20:26:41Z</dcterms:modified>
</cp:coreProperties>
</file>